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echm\Downloads\"/>
    </mc:Choice>
  </mc:AlternateContent>
  <xr:revisionPtr revIDLastSave="0" documentId="13_ncr:1_{2C01BA30-3E57-4039-A9F2-323BAA992AF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Расчёт дверей GRANDIS" sheetId="1" r:id="rId1"/>
    <sheet name="Расчет фасадов GRANDIS" sheetId="2" r:id="rId2"/>
    <sheet name="складная С" sheetId="4" r:id="rId3"/>
    <sheet name="складная RH" sheetId="5" r:id="rId4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M29" i="1" s="1"/>
  <c r="L23" i="1"/>
  <c r="M22" i="1"/>
  <c r="M28" i="1" s="1"/>
  <c r="K22" i="1"/>
  <c r="L22" i="1"/>
  <c r="L24" i="1" s="1"/>
  <c r="M27" i="1" l="1"/>
  <c r="M25" i="1"/>
  <c r="M26" i="1"/>
  <c r="M24" i="1"/>
  <c r="K24" i="1"/>
  <c r="G10" i="1"/>
  <c r="G23" i="1"/>
  <c r="N23" i="1"/>
  <c r="N25" i="1" s="1"/>
  <c r="N22" i="1"/>
  <c r="N26" i="1" s="1"/>
  <c r="O22" i="1"/>
  <c r="O28" i="1" s="1"/>
  <c r="O23" i="1"/>
  <c r="O25" i="1" s="1"/>
  <c r="H23" i="1"/>
  <c r="H25" i="1" s="1"/>
  <c r="H22" i="1"/>
  <c r="H26" i="1" s="1"/>
  <c r="H9" i="5"/>
  <c r="H11" i="5" s="1"/>
  <c r="B9" i="5"/>
  <c r="B10" i="5" s="1"/>
  <c r="H8" i="5"/>
  <c r="H14" i="5" s="1"/>
  <c r="B8" i="5"/>
  <c r="B12" i="5" s="1"/>
  <c r="H7" i="5"/>
  <c r="B7" i="5"/>
  <c r="B7" i="4"/>
  <c r="B8" i="4"/>
  <c r="B14" i="4" s="1"/>
  <c r="B9" i="4"/>
  <c r="B10" i="4" s="1"/>
  <c r="B13" i="4"/>
  <c r="H9" i="4"/>
  <c r="H10" i="4" s="1"/>
  <c r="H10" i="5" l="1"/>
  <c r="B12" i="4"/>
  <c r="B13" i="5"/>
  <c r="B11" i="5"/>
  <c r="H13" i="5"/>
  <c r="H27" i="1"/>
  <c r="O24" i="1"/>
  <c r="N29" i="1"/>
  <c r="O29" i="1"/>
  <c r="N27" i="1"/>
  <c r="N24" i="1"/>
  <c r="N28" i="1"/>
  <c r="H28" i="1"/>
  <c r="H24" i="1"/>
  <c r="H29" i="1"/>
  <c r="B11" i="4"/>
  <c r="B14" i="5"/>
  <c r="H12" i="5"/>
  <c r="H13" i="4"/>
  <c r="H11" i="4"/>
  <c r="H8" i="4" l="1"/>
  <c r="H14" i="4" s="1"/>
  <c r="H7" i="4"/>
  <c r="AA26" i="1"/>
  <c r="F23" i="1"/>
  <c r="F27" i="1" s="1"/>
  <c r="I23" i="1"/>
  <c r="J23" i="1"/>
  <c r="J25" i="1" s="1"/>
  <c r="K23" i="1"/>
  <c r="G11" i="1"/>
  <c r="G27" i="1" s="1"/>
  <c r="G22" i="1"/>
  <c r="G28" i="1" s="1"/>
  <c r="E5" i="2"/>
  <c r="F7" i="2"/>
  <c r="F6" i="2"/>
  <c r="F5" i="2"/>
  <c r="E7" i="2"/>
  <c r="E6" i="2"/>
  <c r="I29" i="1" l="1"/>
  <c r="I25" i="1"/>
  <c r="I27" i="1"/>
  <c r="L27" i="1"/>
  <c r="L25" i="1"/>
  <c r="K25" i="1"/>
  <c r="K29" i="1"/>
  <c r="K27" i="1"/>
  <c r="L26" i="1"/>
  <c r="F25" i="1"/>
  <c r="F29" i="1"/>
  <c r="H12" i="4"/>
  <c r="F22" i="1"/>
  <c r="I22" i="1"/>
  <c r="I24" i="1" s="1"/>
  <c r="J22" i="1"/>
  <c r="J26" i="1" s="1"/>
  <c r="L29" i="1"/>
  <c r="G25" i="1"/>
  <c r="G6" i="2"/>
  <c r="G29" i="1"/>
  <c r="G26" i="1"/>
  <c r="J27" i="1"/>
  <c r="J29" i="1"/>
  <c r="L28" i="1"/>
  <c r="G7" i="2"/>
  <c r="G5" i="2"/>
  <c r="I28" i="1" l="1"/>
  <c r="K26" i="1"/>
  <c r="K28" i="1"/>
  <c r="J24" i="1"/>
  <c r="J28" i="1"/>
  <c r="F28" i="1"/>
  <c r="F24" i="1"/>
  <c r="I26" i="1"/>
  <c r="F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vab</author>
    <author>Grand</author>
  </authors>
  <commentList>
    <comment ref="F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F5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F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F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H25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RH на 2 мм больше
</t>
        </r>
      </text>
    </comment>
    <comment ref="I25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RH на 2 мм больше
</t>
        </r>
      </text>
    </comment>
    <comment ref="H27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для RH на 2 мм больше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7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для RH на 2 мм больше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9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RH на 2 мм больше
</t>
        </r>
      </text>
    </comment>
    <comment ref="I29" authorId="1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RH на 2 мм больше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GRANDIS:введите данные для расчёта</t>
        </r>
      </text>
    </comment>
    <comment ref="C5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GRANDIS:введите данные для расчёта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H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B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H6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>Введите данные для расчета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GRANDIS:</t>
        </r>
        <r>
          <rPr>
            <sz val="9"/>
            <color indexed="81"/>
            <rFont val="Tahoma"/>
            <family val="2"/>
            <charset val="204"/>
          </rPr>
          <t xml:space="preserve"> Введите данные для расчета
</t>
        </r>
      </text>
    </comment>
    <comment ref="H5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B6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  <comment ref="H6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GRANDIS: </t>
        </r>
        <r>
          <rPr>
            <sz val="9"/>
            <color indexed="81"/>
            <rFont val="Tahoma"/>
            <family val="2"/>
            <charset val="204"/>
          </rPr>
          <t xml:space="preserve">Введите данные для расчета
</t>
        </r>
      </text>
    </comment>
  </commentList>
</comments>
</file>

<file path=xl/sharedStrings.xml><?xml version="1.0" encoding="utf-8"?>
<sst xmlns="http://schemas.openxmlformats.org/spreadsheetml/2006/main" count="145" uniqueCount="98">
  <si>
    <t>www.grandis.pro</t>
  </si>
  <si>
    <t>обозначение на эскизе</t>
  </si>
  <si>
    <t>"C"</t>
  </si>
  <si>
    <t>"H"</t>
  </si>
  <si>
    <t>Исходные данные</t>
  </si>
  <si>
    <t>Проём</t>
  </si>
  <si>
    <t xml:space="preserve">высота </t>
  </si>
  <si>
    <t>A</t>
  </si>
  <si>
    <t>ширина</t>
  </si>
  <si>
    <t>B</t>
  </si>
  <si>
    <t xml:space="preserve">Количество дверей </t>
  </si>
  <si>
    <t>C</t>
  </si>
  <si>
    <t>Количество перекрытий дверей</t>
  </si>
  <si>
    <t>D</t>
  </si>
  <si>
    <t>Размеры сечения профилей</t>
  </si>
  <si>
    <t>Вертикаль</t>
  </si>
  <si>
    <t>E</t>
  </si>
  <si>
    <t>F</t>
  </si>
  <si>
    <t>глубина паза для панели</t>
  </si>
  <si>
    <t>G</t>
  </si>
  <si>
    <t>Горизонт узкий (верхний)</t>
  </si>
  <si>
    <t>H</t>
  </si>
  <si>
    <t>J</t>
  </si>
  <si>
    <t>от края профиля до оси самореза</t>
  </si>
  <si>
    <t>K</t>
  </si>
  <si>
    <t>Горизонт широкий (нижний)</t>
  </si>
  <si>
    <t>L</t>
  </si>
  <si>
    <t>M</t>
  </si>
  <si>
    <t>N</t>
  </si>
  <si>
    <t>Разделитель</t>
  </si>
  <si>
    <t>O</t>
  </si>
  <si>
    <t>глубина пазов для панелей</t>
  </si>
  <si>
    <t>P</t>
  </si>
  <si>
    <t>толщина центральной перемычки</t>
  </si>
  <si>
    <t>R</t>
  </si>
  <si>
    <t>Рассчитываемые размеры</t>
  </si>
  <si>
    <t>Дверь в сборе</t>
  </si>
  <si>
    <t>S</t>
  </si>
  <si>
    <t>T</t>
  </si>
  <si>
    <t>Панель 10мм (без уплотнителя)</t>
  </si>
  <si>
    <t>U</t>
  </si>
  <si>
    <t>V</t>
  </si>
  <si>
    <t>Панель 4мм (на уплотнителе)</t>
  </si>
  <si>
    <t>W</t>
  </si>
  <si>
    <t>X</t>
  </si>
  <si>
    <t>Вертикальный профиль</t>
  </si>
  <si>
    <t xml:space="preserve"> = S</t>
  </si>
  <si>
    <t>Y</t>
  </si>
  <si>
    <t>Горизонтальные профили</t>
  </si>
  <si>
    <t xml:space="preserve"> = T-2*(E-F)</t>
  </si>
  <si>
    <t>Z</t>
  </si>
  <si>
    <t>"CL"</t>
  </si>
  <si>
    <t>"H2"</t>
  </si>
  <si>
    <t>высота мм</t>
  </si>
  <si>
    <t>ширина мм</t>
  </si>
  <si>
    <t>площадь кв. м.</t>
  </si>
  <si>
    <t>Фасад алюминевый 45х8 (лицевая часть 8мм)</t>
  </si>
  <si>
    <t>Фасад алюминевый 45х20 (лицевая часть 20мм)</t>
  </si>
  <si>
    <t>Фасад алюминевый ФБС (лицевая часть 23мм)</t>
  </si>
  <si>
    <t>размер фасада</t>
  </si>
  <si>
    <t>размер вставки</t>
  </si>
  <si>
    <t>от размера фасада</t>
  </si>
  <si>
    <t>Рамка фасада</t>
  </si>
  <si>
    <t>паз для горизонтальных профилей</t>
  </si>
  <si>
    <r>
      <t>высота</t>
    </r>
    <r>
      <rPr>
        <sz val="11"/>
        <color theme="0"/>
        <rFont val="Calibri"/>
        <family val="2"/>
        <charset val="204"/>
        <scheme val="minor"/>
      </rPr>
      <t xml:space="preserve">  = A-40</t>
    </r>
  </si>
  <si>
    <r>
      <t>ширина</t>
    </r>
    <r>
      <rPr>
        <sz val="11"/>
        <color theme="0"/>
        <rFont val="Calibri"/>
        <family val="2"/>
        <charset val="204"/>
        <scheme val="minor"/>
      </rPr>
      <t>= (B+D*E)/C</t>
    </r>
  </si>
  <si>
    <r>
      <t>высота</t>
    </r>
    <r>
      <rPr>
        <sz val="11"/>
        <color theme="0"/>
        <rFont val="Calibri"/>
        <family val="2"/>
        <charset val="204"/>
        <scheme val="minor"/>
      </rPr>
      <t xml:space="preserve">  = S-H+J-L+M-2</t>
    </r>
  </si>
  <si>
    <r>
      <t>ширина</t>
    </r>
    <r>
      <rPr>
        <sz val="11"/>
        <color theme="0"/>
        <rFont val="Calibri"/>
        <family val="2"/>
        <charset val="204"/>
        <scheme val="minor"/>
      </rPr>
      <t>= T-2*(E-G)-2</t>
    </r>
  </si>
  <si>
    <r>
      <t>высота</t>
    </r>
    <r>
      <rPr>
        <sz val="11"/>
        <color theme="0"/>
        <rFont val="Calibri"/>
        <family val="2"/>
        <charset val="204"/>
        <scheme val="minor"/>
      </rPr>
      <t xml:space="preserve">  = S-H+J-L+M-4 </t>
    </r>
  </si>
  <si>
    <r>
      <t>ширина</t>
    </r>
    <r>
      <rPr>
        <sz val="11"/>
        <color theme="0"/>
        <rFont val="Calibri"/>
        <family val="2"/>
        <charset val="204"/>
        <scheme val="minor"/>
      </rPr>
      <t>= T-2*(E-G)-4</t>
    </r>
  </si>
  <si>
    <r>
      <t xml:space="preserve">Расчёт </t>
    </r>
    <r>
      <rPr>
        <b/>
        <u/>
        <sz val="11"/>
        <color theme="1"/>
        <rFont val="Calibri"/>
        <family val="2"/>
        <charset val="204"/>
        <scheme val="minor"/>
      </rPr>
      <t>ПОДВЕСНЫХ</t>
    </r>
    <r>
      <rPr>
        <b/>
        <sz val="11"/>
        <color theme="1"/>
        <rFont val="Calibri"/>
        <family val="2"/>
        <charset val="204"/>
        <scheme val="minor"/>
      </rPr>
      <t xml:space="preserve"> дверей по ШИРИНЕ аналогичен вышеприведённому и зависит от используемого вертикального профиля. Расчёт ПОДВЕСНЫХ (как раздвижных, так и складных) дверей по ВЫСОТЕ:  Высота двери = высота проёма минус 58мм. Высота заполнения без уплотнителя = высота двери минус 93мм (используются широкие горизонтальные профили сверху и снизу).</t>
    </r>
  </si>
  <si>
    <t>Высота проема</t>
  </si>
  <si>
    <t>Ширина проема</t>
  </si>
  <si>
    <t>Профиль-ручка ( высота двери)</t>
  </si>
  <si>
    <t>Высота профиля</t>
  </si>
  <si>
    <t>Ширина двери</t>
  </si>
  <si>
    <t>Дверь ширина</t>
  </si>
  <si>
    <t>Ширина вставка ЛДСП</t>
  </si>
  <si>
    <t>Высота вставки ЛДСП</t>
  </si>
  <si>
    <t>Ширина вставки Зеркало</t>
  </si>
  <si>
    <t>Высота вставки Зеркало</t>
  </si>
  <si>
    <t>Горизонт нижний</t>
  </si>
  <si>
    <t>дверей</t>
  </si>
  <si>
    <t xml:space="preserve">1 дверный складной комплект </t>
  </si>
  <si>
    <t>2 х дверный складной комлект</t>
  </si>
  <si>
    <t>Трек подвеснойдвери /трек складной,распашной двери</t>
  </si>
  <si>
    <t>Профиль RH-премиум</t>
  </si>
  <si>
    <t>"RH"</t>
  </si>
  <si>
    <t>.+ кромка 0,45 верх/низ</t>
  </si>
  <si>
    <t>"E" - 10    999</t>
  </si>
  <si>
    <t>"E" - 16   999</t>
  </si>
  <si>
    <t>НЕО-лайт</t>
  </si>
  <si>
    <t>Ассиметр. профиль</t>
  </si>
  <si>
    <t>Симметр. профиль</t>
  </si>
  <si>
    <r>
      <t xml:space="preserve">Профиль </t>
    </r>
    <r>
      <rPr>
        <b/>
        <i/>
        <sz val="14"/>
        <color theme="1"/>
        <rFont val="Calibri"/>
        <family val="2"/>
        <charset val="204"/>
        <scheme val="minor"/>
      </rPr>
      <t>С-премиум</t>
    </r>
  </si>
  <si>
    <r>
      <t>Профиль</t>
    </r>
    <r>
      <rPr>
        <b/>
        <i/>
        <sz val="14"/>
        <color theme="1"/>
        <rFont val="Calibri"/>
        <family val="2"/>
        <charset val="204"/>
        <scheme val="minor"/>
      </rPr>
      <t xml:space="preserve"> С-премиум</t>
    </r>
  </si>
  <si>
    <t>"С" Эко-лайт</t>
  </si>
  <si>
    <t>"H" Эко-лайт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</si>
</sst>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 Black"/>
      <family val="2"/>
      <charset val="204"/>
    </font>
    <font>
      <b/>
      <sz val="10"/>
      <name val="Arial Black"/>
      <family val="2"/>
      <charset val="204"/>
    </font>
    <font>
      <sz val="10"/>
      <color theme="1"/>
      <name val="Arial Black"/>
      <family val="2"/>
      <charset val="204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EA0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4" fillId="0" borderId="0" xfId="1" applyFont="1" applyAlignment="1" applyProtection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1" fillId="0" borderId="26" xfId="0" applyFont="1" applyBorder="1" applyAlignment="1">
      <alignment horizontal="center"/>
    </xf>
    <xf numFmtId="0" fontId="0" fillId="0" borderId="28" xfId="0" applyBorder="1"/>
    <xf numFmtId="0" fontId="1" fillId="0" borderId="29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31" xfId="0" applyBorder="1"/>
    <xf numFmtId="0" fontId="1" fillId="0" borderId="3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/>
    <xf numFmtId="0" fontId="8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21" xfId="0" applyFont="1" applyBorder="1"/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/>
    <xf numFmtId="0" fontId="8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wrapText="1"/>
    </xf>
    <xf numFmtId="0" fontId="0" fillId="0" borderId="45" xfId="0" applyBorder="1" applyAlignment="1">
      <alignment vertical="center"/>
    </xf>
    <xf numFmtId="0" fontId="0" fillId="0" borderId="9" xfId="0" applyBorder="1" applyAlignment="1">
      <alignment vertical="center"/>
    </xf>
    <xf numFmtId="164" fontId="0" fillId="0" borderId="35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0" borderId="34" xfId="0" applyFont="1" applyBorder="1"/>
    <xf numFmtId="0" fontId="10" fillId="0" borderId="15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33" xfId="0" applyFont="1" applyBorder="1"/>
    <xf numFmtId="0" fontId="1" fillId="0" borderId="27" xfId="0" applyFont="1" applyBorder="1"/>
    <xf numFmtId="0" fontId="0" fillId="0" borderId="0" xfId="0" applyAlignment="1">
      <alignment vertical="center"/>
    </xf>
    <xf numFmtId="0" fontId="0" fillId="0" borderId="49" xfId="0" applyBorder="1"/>
    <xf numFmtId="0" fontId="0" fillId="0" borderId="50" xfId="0" applyBorder="1"/>
    <xf numFmtId="0" fontId="0" fillId="3" borderId="49" xfId="0" applyFill="1" applyBorder="1"/>
    <xf numFmtId="0" fontId="0" fillId="0" borderId="51" xfId="0" applyBorder="1"/>
    <xf numFmtId="0" fontId="18" fillId="4" borderId="53" xfId="0" applyFont="1" applyFill="1" applyBorder="1" applyAlignment="1">
      <alignment horizontal="right" vertical="center"/>
    </xf>
    <xf numFmtId="0" fontId="18" fillId="4" borderId="54" xfId="0" applyFont="1" applyFill="1" applyBorder="1" applyAlignment="1">
      <alignment horizontal="left" vertical="center"/>
    </xf>
    <xf numFmtId="0" fontId="17" fillId="4" borderId="18" xfId="0" applyFont="1" applyFill="1" applyBorder="1" applyAlignment="1">
      <alignment horizontal="center"/>
    </xf>
    <xf numFmtId="0" fontId="17" fillId="4" borderId="52" xfId="0" applyFont="1" applyFill="1" applyBorder="1" applyAlignment="1">
      <alignment horizontal="center"/>
    </xf>
    <xf numFmtId="0" fontId="13" fillId="4" borderId="53" xfId="0" applyFont="1" applyFill="1" applyBorder="1" applyAlignment="1">
      <alignment horizontal="right" vertical="center"/>
    </xf>
    <xf numFmtId="0" fontId="13" fillId="4" borderId="54" xfId="0" applyFont="1" applyFill="1" applyBorder="1" applyAlignment="1">
      <alignment horizontal="left" vertical="center"/>
    </xf>
    <xf numFmtId="0" fontId="13" fillId="4" borderId="27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2" fillId="0" borderId="49" xfId="0" applyFont="1" applyBorder="1"/>
    <xf numFmtId="0" fontId="17" fillId="4" borderId="2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4" borderId="5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164" fontId="0" fillId="5" borderId="48" xfId="0" applyNumberFormat="1" applyFill="1" applyBorder="1" applyAlignment="1">
      <alignment vertical="center"/>
    </xf>
    <xf numFmtId="164" fontId="0" fillId="4" borderId="64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9" xfId="0" applyNumberFormat="1" applyBorder="1" applyAlignment="1">
      <alignment vertical="center"/>
    </xf>
    <xf numFmtId="164" fontId="0" fillId="0" borderId="3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165" fontId="0" fillId="0" borderId="16" xfId="0" applyNumberFormat="1" applyBorder="1" applyAlignment="1">
      <alignment vertical="center"/>
    </xf>
    <xf numFmtId="0" fontId="0" fillId="4" borderId="65" xfId="0" applyFill="1" applyBorder="1"/>
    <xf numFmtId="0" fontId="0" fillId="0" borderId="66" xfId="0" applyBorder="1"/>
    <xf numFmtId="0" fontId="0" fillId="0" borderId="0" xfId="0" applyBorder="1" applyAlignment="1">
      <alignment wrapText="1"/>
    </xf>
    <xf numFmtId="0" fontId="17" fillId="4" borderId="2" xfId="0" applyFont="1" applyFill="1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64" fontId="0" fillId="0" borderId="35" xfId="0" applyNumberFormat="1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65" xfId="0" applyFill="1" applyBorder="1"/>
    <xf numFmtId="0" fontId="0" fillId="0" borderId="2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7" xfId="0" applyFill="1" applyBorder="1"/>
    <xf numFmtId="0" fontId="0" fillId="0" borderId="4" xfId="0" applyFill="1" applyBorder="1" applyAlignment="1">
      <alignment vertical="center"/>
    </xf>
    <xf numFmtId="165" fontId="0" fillId="0" borderId="9" xfId="0" applyNumberFormat="1" applyFill="1" applyBorder="1" applyAlignment="1">
      <alignment vertical="center"/>
    </xf>
    <xf numFmtId="164" fontId="0" fillId="0" borderId="32" xfId="0" applyNumberForma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65" fontId="0" fillId="0" borderId="16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6" fillId="7" borderId="68" xfId="0" applyFont="1" applyFill="1" applyBorder="1" applyAlignment="1">
      <alignment vertical="center" wrapText="1"/>
    </xf>
    <xf numFmtId="0" fontId="0" fillId="8" borderId="65" xfId="0" applyFill="1" applyBorder="1" applyAlignment="1">
      <alignment vertical="center"/>
    </xf>
    <xf numFmtId="0" fontId="0" fillId="8" borderId="69" xfId="0" applyFill="1" applyBorder="1" applyAlignment="1">
      <alignment vertical="center"/>
    </xf>
    <xf numFmtId="0" fontId="14" fillId="8" borderId="0" xfId="0" applyFont="1" applyFill="1" applyBorder="1" applyAlignment="1">
      <alignment horizontal="center" vertical="center" wrapText="1"/>
    </xf>
    <xf numFmtId="0" fontId="14" fillId="8" borderId="61" xfId="0" applyFon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/>
    </xf>
    <xf numFmtId="1" fontId="0" fillId="0" borderId="5" xfId="0" applyNumberFormat="1" applyFill="1" applyBorder="1"/>
    <xf numFmtId="0" fontId="0" fillId="0" borderId="41" xfId="0" applyFill="1" applyBorder="1" applyAlignment="1">
      <alignment horizontal="center" vertical="center"/>
    </xf>
    <xf numFmtId="0" fontId="0" fillId="0" borderId="22" xfId="0" applyFill="1" applyBorder="1"/>
    <xf numFmtId="0" fontId="0" fillId="0" borderId="8" xfId="0" applyFill="1" applyBorder="1" applyAlignment="1">
      <alignment horizontal="center" vertical="center"/>
    </xf>
    <xf numFmtId="0" fontId="0" fillId="0" borderId="10" xfId="0" applyFill="1" applyBorder="1"/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/>
    <xf numFmtId="0" fontId="0" fillId="0" borderId="61" xfId="0" applyFill="1" applyBorder="1"/>
    <xf numFmtId="0" fontId="0" fillId="0" borderId="5" xfId="0" applyFill="1" applyBorder="1" applyAlignment="1">
      <alignment vertical="center"/>
    </xf>
    <xf numFmtId="165" fontId="0" fillId="0" borderId="10" xfId="0" applyNumberFormat="1" applyFill="1" applyBorder="1" applyAlignment="1">
      <alignment vertical="center"/>
    </xf>
    <xf numFmtId="165" fontId="0" fillId="0" borderId="62" xfId="0" applyNumberFormat="1" applyFill="1" applyBorder="1" applyAlignment="1">
      <alignment vertical="center"/>
    </xf>
    <xf numFmtId="165" fontId="0" fillId="0" borderId="63" xfId="0" applyNumberFormat="1" applyFill="1" applyBorder="1" applyAlignment="1">
      <alignment vertical="center"/>
    </xf>
    <xf numFmtId="164" fontId="0" fillId="0" borderId="48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65" fontId="0" fillId="0" borderId="17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6" fillId="9" borderId="68" xfId="0" applyFont="1" applyFill="1" applyBorder="1" applyAlignment="1">
      <alignment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1" fillId="6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164" fontId="0" fillId="0" borderId="35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6" fillId="9" borderId="67" xfId="0" applyFont="1" applyFill="1" applyBorder="1" applyAlignment="1">
      <alignment horizontal="center" vertical="center" wrapText="1"/>
    </xf>
    <xf numFmtId="0" fontId="6" fillId="9" borderId="68" xfId="0" applyFont="1" applyFill="1" applyBorder="1" applyAlignment="1">
      <alignment horizontal="center" vertical="center" wrapText="1"/>
    </xf>
    <xf numFmtId="0" fontId="6" fillId="7" borderId="68" xfId="0" applyFont="1" applyFill="1" applyBorder="1" applyAlignment="1">
      <alignment horizontal="center" vertical="center" wrapText="1"/>
    </xf>
    <xf numFmtId="0" fontId="14" fillId="8" borderId="70" xfId="0" applyFont="1" applyFill="1" applyBorder="1" applyAlignment="1">
      <alignment horizontal="center" vertical="center" wrapText="1"/>
    </xf>
    <xf numFmtId="0" fontId="14" fillId="8" borderId="5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5" fillId="6" borderId="51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6" borderId="49" xfId="0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1" fontId="15" fillId="6" borderId="49" xfId="0" applyNumberFormat="1" applyFont="1" applyFill="1" applyBorder="1" applyAlignment="1">
      <alignment horizontal="center" vertical="center"/>
    </xf>
    <xf numFmtId="1" fontId="15" fillId="6" borderId="21" xfId="0" applyNumberFormat="1" applyFont="1" applyFill="1" applyBorder="1" applyAlignment="1">
      <alignment horizontal="center" vertical="center"/>
    </xf>
    <xf numFmtId="1" fontId="15" fillId="6" borderId="22" xfId="0" applyNumberFormat="1" applyFont="1" applyFill="1" applyBorder="1" applyAlignment="1">
      <alignment horizontal="center" vertical="center"/>
    </xf>
    <xf numFmtId="1" fontId="15" fillId="6" borderId="50" xfId="0" applyNumberFormat="1" applyFont="1" applyFill="1" applyBorder="1" applyAlignment="1">
      <alignment horizontal="center" vertical="center"/>
    </xf>
    <xf numFmtId="1" fontId="15" fillId="6" borderId="29" xfId="0" applyNumberFormat="1" applyFont="1" applyFill="1" applyBorder="1" applyAlignment="1">
      <alignment horizontal="center" vertical="center"/>
    </xf>
    <xf numFmtId="1" fontId="15" fillId="6" borderId="60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2" borderId="55" xfId="0" applyFont="1" applyFill="1" applyBorder="1" applyAlignment="1">
      <alignment horizontal="center"/>
    </xf>
    <xf numFmtId="0" fontId="14" fillId="2" borderId="56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14" fillId="3" borderId="38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4" borderId="52" xfId="0" applyFont="1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22" xfId="0" applyFill="1" applyBorder="1"/>
    <xf numFmtId="0" fontId="0" fillId="3" borderId="29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60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CEA04"/>
      <color rgb="FFFFFF00"/>
      <color rgb="FFCCCC00"/>
      <color rgb="FF26E6FA"/>
      <color rgb="FFE2D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grandis.pro/index.php?id=118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grandis.pro/index.php?id=11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33</xdr:row>
      <xdr:rowOff>85725</xdr:rowOff>
    </xdr:from>
    <xdr:to>
      <xdr:col>8</xdr:col>
      <xdr:colOff>200025</xdr:colOff>
      <xdr:row>75</xdr:row>
      <xdr:rowOff>180975</xdr:rowOff>
    </xdr:to>
    <xdr:pic>
      <xdr:nvPicPr>
        <xdr:cNvPr id="2" name="Рисунок 2" descr="Эскиз с размерами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6848475"/>
          <a:ext cx="7372350" cy="809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161925</xdr:rowOff>
    </xdr:from>
    <xdr:to>
      <xdr:col>2</xdr:col>
      <xdr:colOff>1962150</xdr:colOff>
      <xdr:row>2</xdr:row>
      <xdr:rowOff>561975</xdr:rowOff>
    </xdr:to>
    <xdr:pic>
      <xdr:nvPicPr>
        <xdr:cNvPr id="3" name="Picture 1" descr="Лого Грандис НА ПЛЁНКУ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9600" y="161925"/>
          <a:ext cx="2352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0</xdr:col>
      <xdr:colOff>2600325</xdr:colOff>
      <xdr:row>1</xdr:row>
      <xdr:rowOff>152400</xdr:rowOff>
    </xdr:to>
    <xdr:pic>
      <xdr:nvPicPr>
        <xdr:cNvPr id="2" name="Picture 1" descr="Лого Грандис НА ПЛЁНКУ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7650" y="104775"/>
          <a:ext cx="2352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104775</xdr:rowOff>
    </xdr:from>
    <xdr:to>
      <xdr:col>0</xdr:col>
      <xdr:colOff>2600325</xdr:colOff>
      <xdr:row>1</xdr:row>
      <xdr:rowOff>152400</xdr:rowOff>
    </xdr:to>
    <xdr:pic>
      <xdr:nvPicPr>
        <xdr:cNvPr id="2" name="Picture 1" descr="Лого Грандис НА ПЛЁНКУ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7650" y="104775"/>
          <a:ext cx="2352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andis.pr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randis.pro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grandis.pro/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A34"/>
  <sheetViews>
    <sheetView tabSelected="1" topLeftCell="A25" workbookViewId="0">
      <selection activeCell="P17" sqref="P17"/>
    </sheetView>
  </sheetViews>
  <sheetFormatPr defaultRowHeight="14.4" x14ac:dyDescent="0.3"/>
  <cols>
    <col min="1" max="1" width="2.6640625" customWidth="1"/>
    <col min="2" max="2" width="5.88671875" style="26" customWidth="1"/>
    <col min="3" max="3" width="30" customWidth="1"/>
    <col min="4" max="4" width="32.44140625" customWidth="1"/>
    <col min="5" max="5" width="13.109375" style="27" customWidth="1"/>
    <col min="6" max="6" width="8.6640625" customWidth="1"/>
    <col min="7" max="9" width="8.6640625" style="84" customWidth="1"/>
    <col min="10" max="12" width="8.6640625" customWidth="1"/>
    <col min="13" max="13" width="8.5546875" style="84" customWidth="1"/>
    <col min="14" max="15" width="0.44140625" customWidth="1"/>
    <col min="16" max="16" width="32.33203125" customWidth="1"/>
    <col min="17" max="17" width="9.109375" customWidth="1"/>
  </cols>
  <sheetData>
    <row r="1" spans="1:18" ht="15" thickBot="1" x14ac:dyDescent="0.35"/>
    <row r="2" spans="1:18" ht="66.75" customHeight="1" thickBot="1" x14ac:dyDescent="0.65">
      <c r="D2" s="67"/>
      <c r="F2" s="169" t="s">
        <v>92</v>
      </c>
      <c r="G2" s="170"/>
      <c r="H2" s="171" t="s">
        <v>93</v>
      </c>
      <c r="I2" s="171"/>
      <c r="J2" s="171"/>
      <c r="K2" s="131" t="s">
        <v>92</v>
      </c>
      <c r="L2" s="104" t="s">
        <v>93</v>
      </c>
      <c r="M2" s="172" t="s">
        <v>91</v>
      </c>
      <c r="N2" s="105"/>
      <c r="O2" s="106"/>
      <c r="P2" s="12"/>
      <c r="Q2" s="12"/>
    </row>
    <row r="3" spans="1:18" s="1" customFormat="1" ht="49.5" customHeight="1" thickBot="1" x14ac:dyDescent="0.35">
      <c r="B3" s="2"/>
      <c r="C3" s="3"/>
      <c r="D3" s="4" t="s">
        <v>0</v>
      </c>
      <c r="E3" s="5" t="s">
        <v>1</v>
      </c>
      <c r="F3" s="129" t="s">
        <v>2</v>
      </c>
      <c r="G3" s="129" t="s">
        <v>51</v>
      </c>
      <c r="H3" s="130" t="s">
        <v>3</v>
      </c>
      <c r="I3" s="130" t="s">
        <v>87</v>
      </c>
      <c r="J3" s="130" t="s">
        <v>52</v>
      </c>
      <c r="K3" s="132" t="s">
        <v>96</v>
      </c>
      <c r="L3" s="133" t="s">
        <v>97</v>
      </c>
      <c r="M3" s="173"/>
      <c r="N3" s="107" t="s">
        <v>89</v>
      </c>
      <c r="O3" s="108" t="s">
        <v>90</v>
      </c>
      <c r="Q3" s="82"/>
      <c r="R3" s="82"/>
    </row>
    <row r="4" spans="1:18" x14ac:dyDescent="0.3">
      <c r="B4" s="137" t="s">
        <v>4</v>
      </c>
      <c r="C4" s="174" t="s">
        <v>5</v>
      </c>
      <c r="D4" s="46" t="s">
        <v>6</v>
      </c>
      <c r="E4" s="68" t="s">
        <v>7</v>
      </c>
      <c r="F4" s="180">
        <v>2200</v>
      </c>
      <c r="G4" s="181"/>
      <c r="H4" s="181"/>
      <c r="I4" s="181"/>
      <c r="J4" s="181"/>
      <c r="K4" s="181"/>
      <c r="L4" s="181"/>
      <c r="M4" s="181"/>
      <c r="N4" s="182"/>
      <c r="O4" s="183"/>
      <c r="Q4" s="81"/>
      <c r="R4" s="12"/>
    </row>
    <row r="5" spans="1:18" ht="15" thickBot="1" x14ac:dyDescent="0.35">
      <c r="B5" s="138"/>
      <c r="C5" s="175"/>
      <c r="D5" s="47" t="s">
        <v>8</v>
      </c>
      <c r="E5" s="69" t="s">
        <v>9</v>
      </c>
      <c r="F5" s="184">
        <v>2600</v>
      </c>
      <c r="G5" s="185"/>
      <c r="H5" s="185"/>
      <c r="I5" s="185"/>
      <c r="J5" s="185"/>
      <c r="K5" s="185"/>
      <c r="L5" s="185"/>
      <c r="M5" s="185"/>
      <c r="N5" s="185"/>
      <c r="O5" s="186"/>
      <c r="Q5" s="81"/>
      <c r="R5" s="12"/>
    </row>
    <row r="6" spans="1:18" ht="15.6" thickTop="1" thickBot="1" x14ac:dyDescent="0.35">
      <c r="B6" s="138"/>
      <c r="C6" s="176" t="s">
        <v>10</v>
      </c>
      <c r="D6" s="177"/>
      <c r="E6" s="70" t="s">
        <v>11</v>
      </c>
      <c r="F6" s="187">
        <v>3</v>
      </c>
      <c r="G6" s="188"/>
      <c r="H6" s="188"/>
      <c r="I6" s="188"/>
      <c r="J6" s="188"/>
      <c r="K6" s="188"/>
      <c r="L6" s="188"/>
      <c r="M6" s="188"/>
      <c r="N6" s="188"/>
      <c r="O6" s="189"/>
      <c r="Q6" s="81"/>
      <c r="R6" s="12"/>
    </row>
    <row r="7" spans="1:18" ht="15.6" thickTop="1" thickBot="1" x14ac:dyDescent="0.35">
      <c r="B7" s="139"/>
      <c r="C7" s="178" t="s">
        <v>12</v>
      </c>
      <c r="D7" s="179"/>
      <c r="E7" s="71" t="s">
        <v>13</v>
      </c>
      <c r="F7" s="190">
        <v>2</v>
      </c>
      <c r="G7" s="191"/>
      <c r="H7" s="191"/>
      <c r="I7" s="191"/>
      <c r="J7" s="191"/>
      <c r="K7" s="191"/>
      <c r="L7" s="191"/>
      <c r="M7" s="191"/>
      <c r="N7" s="191"/>
      <c r="O7" s="192"/>
      <c r="Q7" s="81"/>
      <c r="R7" s="12"/>
    </row>
    <row r="8" spans="1:18" ht="15" thickBot="1" x14ac:dyDescent="0.35">
      <c r="B8" s="13"/>
      <c r="C8" s="12"/>
      <c r="D8" s="12"/>
      <c r="E8" s="14"/>
      <c r="M8" s="93"/>
      <c r="Q8" s="12"/>
      <c r="R8" s="12"/>
    </row>
    <row r="9" spans="1:18" x14ac:dyDescent="0.3">
      <c r="B9" s="137" t="s">
        <v>14</v>
      </c>
      <c r="C9" s="168" t="s">
        <v>15</v>
      </c>
      <c r="D9" s="15" t="s">
        <v>8</v>
      </c>
      <c r="E9" s="7" t="s">
        <v>16</v>
      </c>
      <c r="F9" s="28">
        <v>26</v>
      </c>
      <c r="G9" s="85">
        <v>42</v>
      </c>
      <c r="H9" s="85">
        <v>25</v>
      </c>
      <c r="I9" s="85">
        <v>25</v>
      </c>
      <c r="J9" s="28">
        <v>33</v>
      </c>
      <c r="K9" s="28">
        <v>26</v>
      </c>
      <c r="L9" s="28">
        <v>22</v>
      </c>
      <c r="M9" s="94">
        <v>11</v>
      </c>
      <c r="N9" s="109">
        <v>17</v>
      </c>
      <c r="O9" s="110">
        <v>17</v>
      </c>
      <c r="P9" s="84"/>
      <c r="Q9" s="81"/>
      <c r="R9" s="12"/>
    </row>
    <row r="10" spans="1:18" x14ac:dyDescent="0.3">
      <c r="A10" s="12"/>
      <c r="B10" s="138"/>
      <c r="C10" s="159"/>
      <c r="D10" s="16" t="s">
        <v>63</v>
      </c>
      <c r="E10" s="17" t="s">
        <v>17</v>
      </c>
      <c r="F10" s="72">
        <v>0.5</v>
      </c>
      <c r="G10" s="86">
        <f>F10</f>
        <v>0.5</v>
      </c>
      <c r="H10" s="86">
        <v>1</v>
      </c>
      <c r="I10" s="86">
        <v>1.5</v>
      </c>
      <c r="J10" s="72">
        <v>0.5</v>
      </c>
      <c r="K10" s="72">
        <v>0.5</v>
      </c>
      <c r="L10" s="72">
        <v>1</v>
      </c>
      <c r="M10" s="86">
        <v>0</v>
      </c>
      <c r="N10" s="111">
        <v>0.5</v>
      </c>
      <c r="O10" s="112"/>
      <c r="P10" s="84"/>
      <c r="Q10" s="81"/>
      <c r="R10" s="12"/>
    </row>
    <row r="11" spans="1:18" ht="15" thickBot="1" x14ac:dyDescent="0.35">
      <c r="B11" s="138"/>
      <c r="C11" s="160"/>
      <c r="D11" s="18" t="s">
        <v>18</v>
      </c>
      <c r="E11" s="9" t="s">
        <v>19</v>
      </c>
      <c r="F11" s="29">
        <v>8.5</v>
      </c>
      <c r="G11" s="87">
        <f>F11</f>
        <v>8.5</v>
      </c>
      <c r="H11" s="87">
        <v>8.5</v>
      </c>
      <c r="I11" s="87">
        <v>9.5</v>
      </c>
      <c r="J11" s="29">
        <v>8.5</v>
      </c>
      <c r="K11" s="29">
        <v>9</v>
      </c>
      <c r="L11" s="29">
        <v>9.5</v>
      </c>
      <c r="M11" s="87">
        <v>9</v>
      </c>
      <c r="N11" s="113">
        <v>15.5</v>
      </c>
      <c r="O11" s="114">
        <v>9</v>
      </c>
      <c r="P11" s="84"/>
      <c r="Q11" s="81"/>
      <c r="R11" s="12"/>
    </row>
    <row r="12" spans="1:18" ht="15" thickTop="1" x14ac:dyDescent="0.3">
      <c r="B12" s="138"/>
      <c r="C12" s="159" t="s">
        <v>20</v>
      </c>
      <c r="D12" s="19" t="s">
        <v>8</v>
      </c>
      <c r="E12" s="20" t="s">
        <v>21</v>
      </c>
      <c r="F12" s="162">
        <v>21</v>
      </c>
      <c r="G12" s="163"/>
      <c r="H12" s="163"/>
      <c r="I12" s="163"/>
      <c r="J12" s="164"/>
      <c r="K12" s="147">
        <v>19</v>
      </c>
      <c r="L12" s="148"/>
      <c r="M12" s="94">
        <v>16</v>
      </c>
      <c r="N12" s="115">
        <v>19</v>
      </c>
      <c r="O12" s="116">
        <v>19</v>
      </c>
      <c r="P12" s="84"/>
      <c r="Q12" s="81"/>
      <c r="R12" s="12"/>
    </row>
    <row r="13" spans="1:18" x14ac:dyDescent="0.3">
      <c r="B13" s="138"/>
      <c r="C13" s="159"/>
      <c r="D13" s="16" t="s">
        <v>18</v>
      </c>
      <c r="E13" s="17" t="s">
        <v>22</v>
      </c>
      <c r="F13" s="156">
        <v>10</v>
      </c>
      <c r="G13" s="158"/>
      <c r="H13" s="158"/>
      <c r="I13" s="158"/>
      <c r="J13" s="157"/>
      <c r="K13" s="156">
        <v>9</v>
      </c>
      <c r="L13" s="157"/>
      <c r="M13" s="95">
        <v>15</v>
      </c>
      <c r="N13" s="111">
        <v>9</v>
      </c>
      <c r="O13" s="112">
        <v>9</v>
      </c>
      <c r="P13" s="84"/>
      <c r="Q13" s="81"/>
      <c r="R13" s="12"/>
    </row>
    <row r="14" spans="1:18" ht="15" thickBot="1" x14ac:dyDescent="0.35">
      <c r="B14" s="138"/>
      <c r="C14" s="160"/>
      <c r="D14" s="18" t="s">
        <v>23</v>
      </c>
      <c r="E14" s="9" t="s">
        <v>24</v>
      </c>
      <c r="F14" s="149">
        <v>6.5</v>
      </c>
      <c r="G14" s="150"/>
      <c r="H14" s="150"/>
      <c r="I14" s="150"/>
      <c r="J14" s="150"/>
      <c r="K14" s="150"/>
      <c r="L14" s="151"/>
      <c r="M14" s="87">
        <v>12</v>
      </c>
      <c r="N14" s="145">
        <v>6.5</v>
      </c>
      <c r="O14" s="146"/>
      <c r="P14" s="84"/>
      <c r="Q14" s="81"/>
      <c r="R14" s="12"/>
    </row>
    <row r="15" spans="1:18" ht="15" thickTop="1" x14ac:dyDescent="0.3">
      <c r="B15" s="138"/>
      <c r="C15" s="159" t="s">
        <v>25</v>
      </c>
      <c r="D15" s="19" t="s">
        <v>8</v>
      </c>
      <c r="E15" s="20" t="s">
        <v>26</v>
      </c>
      <c r="F15" s="165">
        <v>57</v>
      </c>
      <c r="G15" s="167"/>
      <c r="H15" s="167"/>
      <c r="I15" s="167"/>
      <c r="J15" s="166"/>
      <c r="K15" s="165">
        <v>54</v>
      </c>
      <c r="L15" s="166"/>
      <c r="M15" s="94">
        <v>46</v>
      </c>
      <c r="N15" s="143">
        <v>54</v>
      </c>
      <c r="O15" s="144"/>
      <c r="P15" s="84"/>
      <c r="Q15" s="81"/>
      <c r="R15" s="12"/>
    </row>
    <row r="16" spans="1:18" x14ac:dyDescent="0.3">
      <c r="B16" s="138"/>
      <c r="C16" s="159"/>
      <c r="D16" s="16" t="s">
        <v>18</v>
      </c>
      <c r="E16" s="17" t="s">
        <v>27</v>
      </c>
      <c r="F16" s="156">
        <v>10</v>
      </c>
      <c r="G16" s="158"/>
      <c r="H16" s="158"/>
      <c r="I16" s="158"/>
      <c r="J16" s="157"/>
      <c r="K16" s="156">
        <v>9</v>
      </c>
      <c r="L16" s="157"/>
      <c r="M16" s="95">
        <v>45</v>
      </c>
      <c r="N16" s="111">
        <v>9</v>
      </c>
      <c r="O16" s="112">
        <v>9</v>
      </c>
      <c r="P16" s="84"/>
      <c r="Q16" s="81"/>
      <c r="R16" s="12"/>
    </row>
    <row r="17" spans="1:27" ht="15" thickBot="1" x14ac:dyDescent="0.35">
      <c r="B17" s="138"/>
      <c r="C17" s="160"/>
      <c r="D17" s="18" t="s">
        <v>23</v>
      </c>
      <c r="E17" s="9" t="s">
        <v>28</v>
      </c>
      <c r="F17" s="149">
        <v>42</v>
      </c>
      <c r="G17" s="150"/>
      <c r="H17" s="150"/>
      <c r="I17" s="150"/>
      <c r="J17" s="150"/>
      <c r="K17" s="150"/>
      <c r="L17" s="151"/>
      <c r="M17" s="87">
        <v>42</v>
      </c>
      <c r="N17" s="113">
        <v>42</v>
      </c>
      <c r="O17" s="114">
        <v>42</v>
      </c>
      <c r="P17" s="84"/>
      <c r="Q17" s="81"/>
      <c r="R17" s="12"/>
    </row>
    <row r="18" spans="1:27" ht="15" thickTop="1" x14ac:dyDescent="0.3">
      <c r="B18" s="138"/>
      <c r="C18" s="159" t="s">
        <v>29</v>
      </c>
      <c r="D18" s="19" t="s">
        <v>8</v>
      </c>
      <c r="E18" s="20" t="s">
        <v>30</v>
      </c>
      <c r="F18" s="147">
        <v>25</v>
      </c>
      <c r="G18" s="155"/>
      <c r="H18" s="155"/>
      <c r="I18" s="155"/>
      <c r="J18" s="148"/>
      <c r="K18" s="147">
        <v>19</v>
      </c>
      <c r="L18" s="148"/>
      <c r="M18" s="94">
        <v>10</v>
      </c>
      <c r="N18" s="115"/>
      <c r="O18" s="116"/>
      <c r="P18" s="84"/>
      <c r="Q18" s="81"/>
      <c r="R18" s="12"/>
    </row>
    <row r="19" spans="1:27" x14ac:dyDescent="0.3">
      <c r="B19" s="138"/>
      <c r="C19" s="159"/>
      <c r="D19" s="16" t="s">
        <v>31</v>
      </c>
      <c r="E19" s="17" t="s">
        <v>32</v>
      </c>
      <c r="F19" s="156">
        <v>8</v>
      </c>
      <c r="G19" s="158"/>
      <c r="H19" s="158"/>
      <c r="I19" s="158"/>
      <c r="J19" s="157"/>
      <c r="K19" s="156">
        <v>9</v>
      </c>
      <c r="L19" s="157"/>
      <c r="M19" s="213">
        <v>4.5</v>
      </c>
      <c r="N19" s="214"/>
      <c r="O19" s="215"/>
      <c r="Q19" s="81"/>
      <c r="R19" s="12"/>
    </row>
    <row r="20" spans="1:27" ht="15" thickBot="1" x14ac:dyDescent="0.35">
      <c r="B20" s="139"/>
      <c r="C20" s="161"/>
      <c r="D20" s="21" t="s">
        <v>33</v>
      </c>
      <c r="E20" s="22" t="s">
        <v>34</v>
      </c>
      <c r="F20" s="152">
        <v>9</v>
      </c>
      <c r="G20" s="153"/>
      <c r="H20" s="153"/>
      <c r="I20" s="153"/>
      <c r="J20" s="154"/>
      <c r="K20" s="152">
        <v>1</v>
      </c>
      <c r="L20" s="154"/>
      <c r="M20" s="216">
        <v>1</v>
      </c>
      <c r="N20" s="217"/>
      <c r="O20" s="218"/>
      <c r="Q20" s="81"/>
      <c r="R20" s="12"/>
    </row>
    <row r="21" spans="1:27" ht="15" thickBot="1" x14ac:dyDescent="0.35">
      <c r="A21" s="12"/>
      <c r="B21" s="13"/>
      <c r="C21" s="23"/>
      <c r="D21" s="12"/>
      <c r="E21" s="14"/>
      <c r="M21" s="96"/>
      <c r="N21" s="103"/>
      <c r="O21" s="117"/>
      <c r="P21" s="84"/>
      <c r="Q21" s="12"/>
      <c r="R21" s="12"/>
    </row>
    <row r="22" spans="1:27" ht="15" customHeight="1" x14ac:dyDescent="0.3">
      <c r="B22" s="137" t="s">
        <v>35</v>
      </c>
      <c r="C22" s="140" t="s">
        <v>36</v>
      </c>
      <c r="D22" s="6" t="s">
        <v>64</v>
      </c>
      <c r="E22" s="7" t="s">
        <v>37</v>
      </c>
      <c r="F22" s="39">
        <f>$F4-40</f>
        <v>2160</v>
      </c>
      <c r="G22" s="88">
        <f t="shared" ref="G22:J22" si="0">$F4-40</f>
        <v>2160</v>
      </c>
      <c r="H22" s="88">
        <f t="shared" ref="H22" si="1">$F4-40</f>
        <v>2160</v>
      </c>
      <c r="I22" s="88">
        <f t="shared" si="0"/>
        <v>2160</v>
      </c>
      <c r="J22" s="39">
        <f t="shared" si="0"/>
        <v>2160</v>
      </c>
      <c r="K22" s="39">
        <f>$F4-40</f>
        <v>2160</v>
      </c>
      <c r="L22" s="75">
        <f>$F4-40</f>
        <v>2160</v>
      </c>
      <c r="M22" s="97">
        <f>$F4-40</f>
        <v>2160</v>
      </c>
      <c r="N22" s="118">
        <f>$F4-40</f>
        <v>2160</v>
      </c>
      <c r="O22" s="118">
        <f t="shared" ref="O22" si="2">$F4-40</f>
        <v>2160</v>
      </c>
      <c r="P22" s="84"/>
      <c r="Q22" s="81"/>
      <c r="R22" s="12"/>
    </row>
    <row r="23" spans="1:27" ht="15.75" customHeight="1" thickBot="1" x14ac:dyDescent="0.35">
      <c r="B23" s="138"/>
      <c r="C23" s="141"/>
      <c r="D23" s="8" t="s">
        <v>65</v>
      </c>
      <c r="E23" s="9" t="s">
        <v>38</v>
      </c>
      <c r="F23" s="40">
        <f>($F5+$F7*F9)/$F6</f>
        <v>884</v>
      </c>
      <c r="G23" s="89">
        <f>($F5+$F7*G9)/$F6</f>
        <v>894.66666666666663</v>
      </c>
      <c r="H23" s="89">
        <f t="shared" ref="H23" si="3">($F5+$F7*H9)/$F6</f>
        <v>883.33333333333337</v>
      </c>
      <c r="I23" s="89">
        <f t="shared" ref="I23:K23" si="4">($F5+$F7*I9)/$F6</f>
        <v>883.33333333333337</v>
      </c>
      <c r="J23" s="40">
        <f t="shared" si="4"/>
        <v>888.66666666666663</v>
      </c>
      <c r="K23" s="40">
        <f t="shared" si="4"/>
        <v>884</v>
      </c>
      <c r="L23" s="76">
        <f>($F5+$F7*L9)/$F6</f>
        <v>881.33333333333337</v>
      </c>
      <c r="M23" s="98">
        <f>($F5+$F7*M9)/$F6</f>
        <v>874</v>
      </c>
      <c r="N23" s="119">
        <f>($F5+$F7*N9)/$F6</f>
        <v>878</v>
      </c>
      <c r="O23" s="120">
        <f t="shared" ref="O23" si="5">($F5+$F7*O9)/$F6</f>
        <v>878</v>
      </c>
      <c r="P23" s="84"/>
      <c r="Q23" s="81"/>
      <c r="R23" s="12"/>
    </row>
    <row r="24" spans="1:27" ht="15.6" thickTop="1" thickBot="1" x14ac:dyDescent="0.35">
      <c r="B24" s="138"/>
      <c r="C24" s="142" t="s">
        <v>39</v>
      </c>
      <c r="D24" s="24" t="s">
        <v>66</v>
      </c>
      <c r="E24" s="25" t="s">
        <v>40</v>
      </c>
      <c r="F24" s="41">
        <f>F22-$F12+$F13-$F15+$F16-2</f>
        <v>2100</v>
      </c>
      <c r="G24" s="90">
        <v>0</v>
      </c>
      <c r="H24" s="90">
        <f>H22-$F12+$F13-$F15+$F16-2</f>
        <v>2100</v>
      </c>
      <c r="I24" s="90">
        <f t="shared" ref="I24:J24" si="6">I22-$F12+$F13-$F15+$F16-2</f>
        <v>2100</v>
      </c>
      <c r="J24" s="41">
        <f t="shared" si="6"/>
        <v>2100</v>
      </c>
      <c r="K24" s="41">
        <f>K22-$K12+$K13-$K15+$K16-2</f>
        <v>2103</v>
      </c>
      <c r="L24" s="77">
        <f>L22-$K12+$K13-$K15+$K16-2</f>
        <v>2103</v>
      </c>
      <c r="M24" s="99">
        <f>M22-$M12+$M13-$M15+$M16-1</f>
        <v>2157</v>
      </c>
      <c r="N24" s="73">
        <f>N22-$K12+$K13-$K15+$K16-2</f>
        <v>2103</v>
      </c>
      <c r="O24" s="74">
        <f>O22-1</f>
        <v>2159</v>
      </c>
      <c r="P24" s="80" t="s">
        <v>88</v>
      </c>
      <c r="Q24" s="81"/>
      <c r="R24" s="12"/>
    </row>
    <row r="25" spans="1:27" ht="15" thickBot="1" x14ac:dyDescent="0.35">
      <c r="B25" s="138"/>
      <c r="C25" s="141"/>
      <c r="D25" s="8" t="s">
        <v>67</v>
      </c>
      <c r="E25" s="9" t="s">
        <v>41</v>
      </c>
      <c r="F25" s="40">
        <f>F23-2*(F9-F11)-2</f>
        <v>847</v>
      </c>
      <c r="G25" s="89">
        <f>G23-2*(F9-G11)-2</f>
        <v>857.66666666666663</v>
      </c>
      <c r="H25" s="89">
        <f>H23-2*(H9-H11)-2</f>
        <v>848.33333333333337</v>
      </c>
      <c r="I25" s="89">
        <f>I23-2*(I9-I11)</f>
        <v>852.33333333333337</v>
      </c>
      <c r="J25" s="40">
        <f t="shared" ref="J25:K25" si="7">J23-2*(J9-J11)-2</f>
        <v>837.66666666666663</v>
      </c>
      <c r="K25" s="40">
        <f t="shared" si="7"/>
        <v>848</v>
      </c>
      <c r="L25" s="76">
        <f>L23-2*(L9-L11)-2</f>
        <v>854.33333333333337</v>
      </c>
      <c r="M25" s="98">
        <f>M23-2*(M9-M11)</f>
        <v>870</v>
      </c>
      <c r="N25" s="119">
        <f>N23-2*(N9-N11)-1</f>
        <v>874</v>
      </c>
      <c r="O25" s="121">
        <f t="shared" ref="O25" si="8">O23-2*(O9-O11)-2</f>
        <v>860</v>
      </c>
      <c r="P25" s="84"/>
      <c r="Q25" s="81"/>
      <c r="R25" s="12"/>
    </row>
    <row r="26" spans="1:27" ht="15" thickTop="1" x14ac:dyDescent="0.3">
      <c r="B26" s="138"/>
      <c r="C26" s="142" t="s">
        <v>42</v>
      </c>
      <c r="D26" s="24" t="s">
        <v>68</v>
      </c>
      <c r="E26" s="25" t="s">
        <v>43</v>
      </c>
      <c r="F26" s="41">
        <f>F22-$F12+$F13-$F15+$F16-4</f>
        <v>2098</v>
      </c>
      <c r="G26" s="90">
        <f t="shared" ref="G26:J26" si="9">G22-$F12+$F13-$F15+$F16-4</f>
        <v>2098</v>
      </c>
      <c r="H26" s="90">
        <f>H22-$F12+$F13-$F15+$F16-4</f>
        <v>2098</v>
      </c>
      <c r="I26" s="90">
        <f t="shared" si="9"/>
        <v>2098</v>
      </c>
      <c r="J26" s="41">
        <f t="shared" si="9"/>
        <v>2098</v>
      </c>
      <c r="K26" s="41">
        <f>K22-$K12+$K13-$K15+$K16-4</f>
        <v>2101</v>
      </c>
      <c r="L26" s="77">
        <f>L22-$K12+$K13-$K15+$K16-4</f>
        <v>2101</v>
      </c>
      <c r="M26" s="99">
        <f>M22-$M12+$M13-$M15+$M16-3</f>
        <v>2155</v>
      </c>
      <c r="N26" s="122">
        <f t="shared" ref="N26" si="10">N22-$K12+$K13-$K15+$K16-4</f>
        <v>2101</v>
      </c>
      <c r="O26" s="122"/>
      <c r="P26" s="84"/>
      <c r="Q26" s="81"/>
      <c r="R26" s="12"/>
      <c r="X26">
        <v>2000</v>
      </c>
      <c r="AA26">
        <f>X26-93</f>
        <v>1907</v>
      </c>
    </row>
    <row r="27" spans="1:27" ht="15" thickBot="1" x14ac:dyDescent="0.35">
      <c r="B27" s="138"/>
      <c r="C27" s="141"/>
      <c r="D27" s="8" t="s">
        <v>69</v>
      </c>
      <c r="E27" s="9" t="s">
        <v>44</v>
      </c>
      <c r="F27" s="40">
        <f>F23-2*(F9-F11)-4</f>
        <v>845</v>
      </c>
      <c r="G27" s="89">
        <f>G23-2*(F9-G11)-4</f>
        <v>855.66666666666663</v>
      </c>
      <c r="H27" s="89">
        <f>H23-2*(H9-H11)-4</f>
        <v>846.33333333333337</v>
      </c>
      <c r="I27" s="89">
        <f>I23-2*(I9-I11)-2</f>
        <v>850.33333333333337</v>
      </c>
      <c r="J27" s="40">
        <f t="shared" ref="J27:K27" si="11">J23-2*(J9-J11)-4</f>
        <v>835.66666666666663</v>
      </c>
      <c r="K27" s="40">
        <f t="shared" si="11"/>
        <v>846</v>
      </c>
      <c r="L27" s="76">
        <f>L23-2*(L9-L11)-4</f>
        <v>852.33333333333337</v>
      </c>
      <c r="M27" s="98">
        <f>M23-2*(M9-M11)-2</f>
        <v>868</v>
      </c>
      <c r="N27" s="119">
        <f t="shared" ref="N27" si="12">N23-2*(N9-N11)-4</f>
        <v>871</v>
      </c>
      <c r="O27" s="119"/>
      <c r="P27" s="84"/>
      <c r="Q27" s="81"/>
      <c r="R27" s="12"/>
    </row>
    <row r="28" spans="1:27" ht="15.6" thickTop="1" thickBot="1" x14ac:dyDescent="0.35">
      <c r="B28" s="138"/>
      <c r="C28" s="48" t="s">
        <v>45</v>
      </c>
      <c r="D28" s="44" t="s">
        <v>46</v>
      </c>
      <c r="E28" s="10" t="s">
        <v>47</v>
      </c>
      <c r="F28" s="42">
        <f>F22</f>
        <v>2160</v>
      </c>
      <c r="G28" s="91">
        <f t="shared" ref="G28:K28" si="13">G22</f>
        <v>2160</v>
      </c>
      <c r="H28" s="91">
        <f t="shared" ref="H28" si="14">H22</f>
        <v>2160</v>
      </c>
      <c r="I28" s="91">
        <f t="shared" si="13"/>
        <v>2160</v>
      </c>
      <c r="J28" s="42">
        <f t="shared" si="13"/>
        <v>2160</v>
      </c>
      <c r="K28" s="42">
        <f t="shared" si="13"/>
        <v>2160</v>
      </c>
      <c r="L28" s="78">
        <f>L22</f>
        <v>2160</v>
      </c>
      <c r="M28" s="100">
        <f>M22</f>
        <v>2160</v>
      </c>
      <c r="N28" s="123">
        <f t="shared" ref="N28:O28" si="15">N22</f>
        <v>2160</v>
      </c>
      <c r="O28" s="123">
        <f t="shared" si="15"/>
        <v>2160</v>
      </c>
      <c r="P28" s="84"/>
      <c r="Q28" s="81"/>
      <c r="R28" s="12"/>
    </row>
    <row r="29" spans="1:27" ht="15.6" thickTop="1" thickBot="1" x14ac:dyDescent="0.35">
      <c r="B29" s="139"/>
      <c r="C29" s="49" t="s">
        <v>48</v>
      </c>
      <c r="D29" s="45" t="s">
        <v>49</v>
      </c>
      <c r="E29" s="11" t="s">
        <v>50</v>
      </c>
      <c r="F29" s="43">
        <f>F23-2*(F9-F10)</f>
        <v>833</v>
      </c>
      <c r="G29" s="92">
        <f>G23-2*(F9-G10)</f>
        <v>843.66666666666663</v>
      </c>
      <c r="H29" s="92">
        <f t="shared" ref="H29:N29" si="16">H23-2*(H9-H10)</f>
        <v>835.33333333333337</v>
      </c>
      <c r="I29" s="92">
        <f t="shared" si="16"/>
        <v>836.33333333333337</v>
      </c>
      <c r="J29" s="43">
        <f t="shared" si="16"/>
        <v>823.66666666666663</v>
      </c>
      <c r="K29" s="43">
        <f t="shared" si="16"/>
        <v>833</v>
      </c>
      <c r="L29" s="79">
        <f>L23-2*(L9-L10)</f>
        <v>839.33333333333337</v>
      </c>
      <c r="M29" s="101">
        <f>M23-2*(M9-M10)</f>
        <v>852</v>
      </c>
      <c r="N29" s="124">
        <f t="shared" si="16"/>
        <v>845</v>
      </c>
      <c r="O29" s="124">
        <f t="shared" ref="O29" si="17">O23-2*(O9-O10)</f>
        <v>844</v>
      </c>
      <c r="P29" s="84"/>
      <c r="Q29" s="81"/>
      <c r="R29" s="12"/>
    </row>
    <row r="30" spans="1:27" x14ac:dyDescent="0.3">
      <c r="Q30" s="12"/>
    </row>
    <row r="31" spans="1:27" x14ac:dyDescent="0.3">
      <c r="B31" s="134" t="s">
        <v>70</v>
      </c>
      <c r="C31" s="135"/>
      <c r="D31" s="135"/>
      <c r="E31" s="136"/>
      <c r="F31" s="135"/>
      <c r="G31" s="135"/>
      <c r="H31" s="135"/>
      <c r="I31" s="135"/>
      <c r="J31" s="135"/>
      <c r="K31" s="135"/>
      <c r="L31" s="135"/>
      <c r="M31" s="102"/>
      <c r="N31" s="102"/>
    </row>
    <row r="32" spans="1:27" x14ac:dyDescent="0.3">
      <c r="B32" s="134"/>
      <c r="C32" s="135"/>
      <c r="D32" s="135"/>
      <c r="E32" s="136"/>
      <c r="F32" s="135"/>
      <c r="G32" s="135"/>
      <c r="H32" s="135"/>
      <c r="I32" s="135"/>
      <c r="J32" s="135"/>
      <c r="K32" s="135"/>
      <c r="L32" s="135"/>
      <c r="M32" s="102"/>
      <c r="N32" s="102"/>
    </row>
    <row r="33" spans="2:14" ht="30.75" customHeight="1" x14ac:dyDescent="0.3">
      <c r="B33" s="134"/>
      <c r="C33" s="135"/>
      <c r="D33" s="135"/>
      <c r="E33" s="136"/>
      <c r="F33" s="135"/>
      <c r="G33" s="135"/>
      <c r="H33" s="135"/>
      <c r="I33" s="135"/>
      <c r="J33" s="135"/>
      <c r="K33" s="135"/>
      <c r="L33" s="135"/>
      <c r="M33" s="102"/>
      <c r="N33" s="102"/>
    </row>
    <row r="34" spans="2:14" x14ac:dyDescent="0.3">
      <c r="N34" s="84"/>
    </row>
  </sheetData>
  <mergeCells count="39">
    <mergeCell ref="F2:G2"/>
    <mergeCell ref="H2:J2"/>
    <mergeCell ref="M2:M3"/>
    <mergeCell ref="B4:B7"/>
    <mergeCell ref="C4:C5"/>
    <mergeCell ref="C6:D6"/>
    <mergeCell ref="C7:D7"/>
    <mergeCell ref="F4:O4"/>
    <mergeCell ref="F5:O5"/>
    <mergeCell ref="F6:O6"/>
    <mergeCell ref="F7:O7"/>
    <mergeCell ref="B9:B20"/>
    <mergeCell ref="K19:L19"/>
    <mergeCell ref="F19:J19"/>
    <mergeCell ref="C15:C17"/>
    <mergeCell ref="C18:C20"/>
    <mergeCell ref="F12:J12"/>
    <mergeCell ref="K12:L12"/>
    <mergeCell ref="K13:L13"/>
    <mergeCell ref="K15:L15"/>
    <mergeCell ref="K16:L16"/>
    <mergeCell ref="F13:J13"/>
    <mergeCell ref="F14:L14"/>
    <mergeCell ref="F15:J15"/>
    <mergeCell ref="F16:J16"/>
    <mergeCell ref="C9:C11"/>
    <mergeCell ref="C12:C14"/>
    <mergeCell ref="N15:O15"/>
    <mergeCell ref="N14:O14"/>
    <mergeCell ref="K18:L18"/>
    <mergeCell ref="F17:L17"/>
    <mergeCell ref="F20:J20"/>
    <mergeCell ref="K20:L20"/>
    <mergeCell ref="F18:J18"/>
    <mergeCell ref="B31:L33"/>
    <mergeCell ref="B22:B29"/>
    <mergeCell ref="C22:C23"/>
    <mergeCell ref="C24:C25"/>
    <mergeCell ref="C26:C27"/>
  </mergeCells>
  <hyperlinks>
    <hyperlink ref="D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3:G7"/>
  <sheetViews>
    <sheetView workbookViewId="0">
      <selection activeCell="C5" sqref="C5:C7"/>
    </sheetView>
  </sheetViews>
  <sheetFormatPr defaultColWidth="9.109375" defaultRowHeight="16.2" x14ac:dyDescent="0.4"/>
  <cols>
    <col min="1" max="1" width="53.109375" style="36" customWidth="1"/>
    <col min="2" max="7" width="10.6640625" style="36" customWidth="1"/>
    <col min="8" max="16384" width="9.109375" style="36"/>
  </cols>
  <sheetData>
    <row r="3" spans="1:7" s="30" customFormat="1" ht="15" customHeight="1" x14ac:dyDescent="0.4">
      <c r="A3" s="196" t="s">
        <v>62</v>
      </c>
      <c r="B3" s="193" t="s">
        <v>59</v>
      </c>
      <c r="C3" s="193"/>
      <c r="D3" s="198" t="s">
        <v>60</v>
      </c>
      <c r="E3" s="199"/>
      <c r="F3" s="199"/>
      <c r="G3" s="199"/>
    </row>
    <row r="4" spans="1:7" s="32" customFormat="1" ht="39.75" customHeight="1" x14ac:dyDescent="0.4">
      <c r="A4" s="197"/>
      <c r="B4" s="31" t="s">
        <v>53</v>
      </c>
      <c r="C4" s="31" t="s">
        <v>54</v>
      </c>
      <c r="D4" s="38" t="s">
        <v>61</v>
      </c>
      <c r="E4" s="37" t="s">
        <v>53</v>
      </c>
      <c r="F4" s="37" t="s">
        <v>54</v>
      </c>
      <c r="G4" s="37" t="s">
        <v>55</v>
      </c>
    </row>
    <row r="5" spans="1:7" x14ac:dyDescent="0.4">
      <c r="A5" s="33" t="s">
        <v>56</v>
      </c>
      <c r="B5" s="194">
        <v>1000</v>
      </c>
      <c r="C5" s="194">
        <v>1000</v>
      </c>
      <c r="D5" s="34">
        <v>-6</v>
      </c>
      <c r="E5" s="35">
        <f>B5+D5</f>
        <v>994</v>
      </c>
      <c r="F5" s="35">
        <f>C5+D5</f>
        <v>994</v>
      </c>
      <c r="G5" s="35">
        <f>E5*F5/1000000</f>
        <v>0.98803600000000003</v>
      </c>
    </row>
    <row r="6" spans="1:7" x14ac:dyDescent="0.4">
      <c r="A6" s="33" t="s">
        <v>57</v>
      </c>
      <c r="B6" s="195"/>
      <c r="C6" s="195"/>
      <c r="D6" s="35">
        <v>-29</v>
      </c>
      <c r="E6" s="35">
        <f>B5+D6</f>
        <v>971</v>
      </c>
      <c r="F6" s="35">
        <f>C5+D6</f>
        <v>971</v>
      </c>
      <c r="G6" s="35">
        <f t="shared" ref="G6:G7" si="0">E6*F6/1000000</f>
        <v>0.94284100000000004</v>
      </c>
    </row>
    <row r="7" spans="1:7" x14ac:dyDescent="0.4">
      <c r="A7" s="33" t="s">
        <v>58</v>
      </c>
      <c r="B7" s="195"/>
      <c r="C7" s="195"/>
      <c r="D7" s="35">
        <v>-34</v>
      </c>
      <c r="E7" s="35">
        <f>B5+D7</f>
        <v>966</v>
      </c>
      <c r="F7" s="35">
        <f>C5+D7</f>
        <v>966</v>
      </c>
      <c r="G7" s="35">
        <f t="shared" si="0"/>
        <v>0.93315599999999999</v>
      </c>
    </row>
  </sheetData>
  <mergeCells count="5">
    <mergeCell ref="B3:C3"/>
    <mergeCell ref="B5:B7"/>
    <mergeCell ref="C5:C7"/>
    <mergeCell ref="A3:A4"/>
    <mergeCell ref="D3:G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I14"/>
  <sheetViews>
    <sheetView workbookViewId="0">
      <selection activeCell="K10" sqref="K10"/>
    </sheetView>
  </sheetViews>
  <sheetFormatPr defaultRowHeight="14.4" x14ac:dyDescent="0.3"/>
  <cols>
    <col min="1" max="1" width="42.5546875" customWidth="1"/>
    <col min="2" max="2" width="3.109375" customWidth="1"/>
    <col min="3" max="3" width="8.109375" customWidth="1"/>
    <col min="4" max="5" width="8.109375" style="84" customWidth="1"/>
    <col min="6" max="6" width="5.5546875" customWidth="1"/>
    <col min="7" max="7" width="43" customWidth="1"/>
    <col min="8" max="8" width="3.44140625" customWidth="1"/>
    <col min="9" max="9" width="8.6640625" customWidth="1"/>
  </cols>
  <sheetData>
    <row r="1" spans="1:9" s="50" customFormat="1" ht="27.75" customHeight="1" x14ac:dyDescent="0.3">
      <c r="D1" s="125"/>
      <c r="E1" s="125"/>
      <c r="G1" s="4" t="s">
        <v>0</v>
      </c>
    </row>
    <row r="2" spans="1:9" ht="15" thickBot="1" x14ac:dyDescent="0.35"/>
    <row r="3" spans="1:9" ht="18" x14ac:dyDescent="0.35">
      <c r="A3" s="83" t="s">
        <v>94</v>
      </c>
      <c r="B3" s="57"/>
      <c r="C3" s="58"/>
      <c r="D3" s="126"/>
      <c r="E3" s="126"/>
      <c r="G3" s="210" t="s">
        <v>95</v>
      </c>
      <c r="H3" s="211"/>
      <c r="I3" s="212"/>
    </row>
    <row r="4" spans="1:9" ht="18" thickBot="1" x14ac:dyDescent="0.35">
      <c r="A4" s="59" t="s">
        <v>83</v>
      </c>
      <c r="B4" s="61">
        <v>2</v>
      </c>
      <c r="C4" s="60" t="s">
        <v>82</v>
      </c>
      <c r="D4" s="127"/>
      <c r="E4" s="127"/>
      <c r="G4" s="55" t="s">
        <v>84</v>
      </c>
      <c r="H4" s="62">
        <v>4</v>
      </c>
      <c r="I4" s="56" t="s">
        <v>82</v>
      </c>
    </row>
    <row r="5" spans="1:9" ht="15.6" x14ac:dyDescent="0.3">
      <c r="A5" s="54" t="s">
        <v>71</v>
      </c>
      <c r="B5" s="204">
        <v>2060</v>
      </c>
      <c r="C5" s="205"/>
      <c r="D5" s="128"/>
      <c r="E5" s="128"/>
      <c r="G5" s="54" t="s">
        <v>71</v>
      </c>
      <c r="H5" s="204">
        <v>2050</v>
      </c>
      <c r="I5" s="205"/>
    </row>
    <row r="6" spans="1:9" ht="15.6" x14ac:dyDescent="0.3">
      <c r="A6" s="51" t="s">
        <v>72</v>
      </c>
      <c r="B6" s="206">
        <v>905</v>
      </c>
      <c r="C6" s="207"/>
      <c r="D6" s="128"/>
      <c r="E6" s="128"/>
      <c r="G6" s="51" t="s">
        <v>72</v>
      </c>
      <c r="H6" s="206">
        <v>1810</v>
      </c>
      <c r="I6" s="207"/>
    </row>
    <row r="7" spans="1:9" ht="15.6" x14ac:dyDescent="0.3">
      <c r="A7" s="63" t="s">
        <v>85</v>
      </c>
      <c r="B7" s="200">
        <f>B6-1</f>
        <v>904</v>
      </c>
      <c r="C7" s="201"/>
      <c r="D7" s="128"/>
      <c r="E7" s="128"/>
      <c r="G7" s="63" t="s">
        <v>85</v>
      </c>
      <c r="H7" s="200">
        <f>H6-1</f>
        <v>1809</v>
      </c>
      <c r="I7" s="201"/>
    </row>
    <row r="8" spans="1:9" ht="15.6" x14ac:dyDescent="0.3">
      <c r="A8" s="51" t="s">
        <v>74</v>
      </c>
      <c r="B8" s="200">
        <f>B5-58</f>
        <v>2002</v>
      </c>
      <c r="C8" s="201"/>
      <c r="D8" s="128"/>
      <c r="E8" s="128"/>
      <c r="G8" s="53" t="s">
        <v>73</v>
      </c>
      <c r="H8" s="208">
        <f>H5-58</f>
        <v>1992</v>
      </c>
      <c r="I8" s="209"/>
    </row>
    <row r="9" spans="1:9" ht="15.6" x14ac:dyDescent="0.3">
      <c r="A9" s="51" t="s">
        <v>76</v>
      </c>
      <c r="B9" s="200">
        <f>(B6-10)/2</f>
        <v>447.5</v>
      </c>
      <c r="C9" s="201"/>
      <c r="D9" s="128"/>
      <c r="E9" s="128"/>
      <c r="G9" s="51" t="s">
        <v>75</v>
      </c>
      <c r="H9" s="200">
        <f>(H6-16)/4</f>
        <v>448.5</v>
      </c>
      <c r="I9" s="201"/>
    </row>
    <row r="10" spans="1:9" ht="15.6" x14ac:dyDescent="0.3">
      <c r="A10" s="51" t="s">
        <v>81</v>
      </c>
      <c r="B10" s="200">
        <f>B9-51</f>
        <v>396.5</v>
      </c>
      <c r="C10" s="201"/>
      <c r="D10" s="128"/>
      <c r="E10" s="128"/>
      <c r="G10" s="51" t="s">
        <v>81</v>
      </c>
      <c r="H10" s="208">
        <f>H9-51</f>
        <v>397.5</v>
      </c>
      <c r="I10" s="209"/>
    </row>
    <row r="11" spans="1:9" ht="15.6" x14ac:dyDescent="0.3">
      <c r="A11" s="51" t="s">
        <v>77</v>
      </c>
      <c r="B11" s="200">
        <f>B9-37</f>
        <v>410.5</v>
      </c>
      <c r="C11" s="201"/>
      <c r="D11" s="128"/>
      <c r="E11" s="128"/>
      <c r="G11" s="51" t="s">
        <v>77</v>
      </c>
      <c r="H11" s="200">
        <f>H9-37</f>
        <v>411.5</v>
      </c>
      <c r="I11" s="201"/>
    </row>
    <row r="12" spans="1:9" ht="15.6" x14ac:dyDescent="0.3">
      <c r="A12" s="51" t="s">
        <v>78</v>
      </c>
      <c r="B12" s="200">
        <f>B8-93</f>
        <v>1909</v>
      </c>
      <c r="C12" s="201"/>
      <c r="D12" s="128"/>
      <c r="E12" s="128"/>
      <c r="G12" s="51" t="s">
        <v>78</v>
      </c>
      <c r="H12" s="200">
        <f>H8-93</f>
        <v>1899</v>
      </c>
      <c r="I12" s="201"/>
    </row>
    <row r="13" spans="1:9" ht="15.6" x14ac:dyDescent="0.3">
      <c r="A13" s="51" t="s">
        <v>79</v>
      </c>
      <c r="B13" s="200">
        <f>B9-39</f>
        <v>408.5</v>
      </c>
      <c r="C13" s="201"/>
      <c r="D13" s="128"/>
      <c r="E13" s="128"/>
      <c r="G13" s="51" t="s">
        <v>79</v>
      </c>
      <c r="H13" s="200">
        <f>H9-39</f>
        <v>409.5</v>
      </c>
      <c r="I13" s="201"/>
    </row>
    <row r="14" spans="1:9" ht="16.2" thickBot="1" x14ac:dyDescent="0.35">
      <c r="A14" s="52" t="s">
        <v>80</v>
      </c>
      <c r="B14" s="202">
        <f>B8-95</f>
        <v>1907</v>
      </c>
      <c r="C14" s="203"/>
      <c r="D14" s="128"/>
      <c r="E14" s="128"/>
      <c r="G14" s="52" t="s">
        <v>80</v>
      </c>
      <c r="H14" s="202">
        <f>H8-95</f>
        <v>1897</v>
      </c>
      <c r="I14" s="203"/>
    </row>
  </sheetData>
  <mergeCells count="21">
    <mergeCell ref="B11:C11"/>
    <mergeCell ref="B12:C12"/>
    <mergeCell ref="G3:I3"/>
    <mergeCell ref="B5:C5"/>
    <mergeCell ref="B6:C6"/>
    <mergeCell ref="H13:I13"/>
    <mergeCell ref="H14:I14"/>
    <mergeCell ref="B13:C13"/>
    <mergeCell ref="B14:C14"/>
    <mergeCell ref="H5:I5"/>
    <mergeCell ref="H6:I6"/>
    <mergeCell ref="H7:I7"/>
    <mergeCell ref="H8:I8"/>
    <mergeCell ref="H9:I9"/>
    <mergeCell ref="H10:I10"/>
    <mergeCell ref="H11:I11"/>
    <mergeCell ref="H12:I12"/>
    <mergeCell ref="B7:C7"/>
    <mergeCell ref="B8:C8"/>
    <mergeCell ref="B9:C9"/>
    <mergeCell ref="B10:C10"/>
  </mergeCells>
  <hyperlinks>
    <hyperlink ref="G1" r:id="rId1" xr:uid="{00000000-0004-0000-0200-000000000000}"/>
  </hyperlinks>
  <pageMargins left="0.7" right="0.7" top="0.75" bottom="0.75" header="0.3" footer="0.3"/>
  <pageSetup paperSize="9" orientation="portrait" horizontalDpi="180" verticalDpi="18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workbookViewId="0">
      <selection activeCell="M10" sqref="M10"/>
    </sheetView>
  </sheetViews>
  <sheetFormatPr defaultRowHeight="14.4" x14ac:dyDescent="0.3"/>
  <cols>
    <col min="1" max="1" width="42.5546875" customWidth="1"/>
    <col min="2" max="2" width="3.109375" customWidth="1"/>
    <col min="3" max="3" width="8.109375" customWidth="1"/>
    <col min="4" max="5" width="8.109375" style="84" customWidth="1"/>
    <col min="6" max="6" width="5.5546875" customWidth="1"/>
    <col min="7" max="7" width="43" customWidth="1"/>
    <col min="8" max="8" width="3.44140625" customWidth="1"/>
    <col min="9" max="9" width="8.6640625" customWidth="1"/>
  </cols>
  <sheetData>
    <row r="1" spans="1:9" s="50" customFormat="1" ht="27.75" customHeight="1" x14ac:dyDescent="0.3">
      <c r="D1" s="125"/>
      <c r="E1" s="125"/>
      <c r="G1" s="4" t="s">
        <v>0</v>
      </c>
    </row>
    <row r="2" spans="1:9" ht="15" thickBot="1" x14ac:dyDescent="0.35"/>
    <row r="3" spans="1:9" x14ac:dyDescent="0.3">
      <c r="A3" s="64" t="s">
        <v>86</v>
      </c>
      <c r="B3" s="65"/>
      <c r="C3" s="66"/>
      <c r="D3" s="126"/>
      <c r="E3" s="126"/>
      <c r="G3" s="210" t="s">
        <v>86</v>
      </c>
      <c r="H3" s="211"/>
      <c r="I3" s="212"/>
    </row>
    <row r="4" spans="1:9" ht="18" thickBot="1" x14ac:dyDescent="0.35">
      <c r="A4" s="59" t="s">
        <v>83</v>
      </c>
      <c r="B4" s="61">
        <v>2</v>
      </c>
      <c r="C4" s="60" t="s">
        <v>82</v>
      </c>
      <c r="D4" s="127"/>
      <c r="E4" s="127"/>
      <c r="G4" s="55" t="s">
        <v>84</v>
      </c>
      <c r="H4" s="62">
        <v>4</v>
      </c>
      <c r="I4" s="56" t="s">
        <v>82</v>
      </c>
    </row>
    <row r="5" spans="1:9" ht="15.6" x14ac:dyDescent="0.3">
      <c r="A5" s="54" t="s">
        <v>71</v>
      </c>
      <c r="B5" s="204">
        <v>2050</v>
      </c>
      <c r="C5" s="205"/>
      <c r="D5" s="128"/>
      <c r="E5" s="128"/>
      <c r="G5" s="54" t="s">
        <v>71</v>
      </c>
      <c r="H5" s="204">
        <v>2050</v>
      </c>
      <c r="I5" s="205"/>
    </row>
    <row r="6" spans="1:9" ht="15.6" x14ac:dyDescent="0.3">
      <c r="A6" s="51" t="s">
        <v>72</v>
      </c>
      <c r="B6" s="206">
        <v>905</v>
      </c>
      <c r="C6" s="207"/>
      <c r="D6" s="128"/>
      <c r="E6" s="128"/>
      <c r="G6" s="51" t="s">
        <v>72</v>
      </c>
      <c r="H6" s="206">
        <v>1810</v>
      </c>
      <c r="I6" s="207"/>
    </row>
    <row r="7" spans="1:9" ht="15.6" x14ac:dyDescent="0.3">
      <c r="A7" s="63" t="s">
        <v>85</v>
      </c>
      <c r="B7" s="200">
        <f>B6-1</f>
        <v>904</v>
      </c>
      <c r="C7" s="201"/>
      <c r="D7" s="128"/>
      <c r="E7" s="128"/>
      <c r="G7" s="63" t="s">
        <v>85</v>
      </c>
      <c r="H7" s="200">
        <f>H6-1</f>
        <v>1809</v>
      </c>
      <c r="I7" s="201"/>
    </row>
    <row r="8" spans="1:9" ht="15.6" x14ac:dyDescent="0.3">
      <c r="A8" s="51" t="s">
        <v>74</v>
      </c>
      <c r="B8" s="200">
        <f>B5-58</f>
        <v>1992</v>
      </c>
      <c r="C8" s="201"/>
      <c r="D8" s="128"/>
      <c r="E8" s="128"/>
      <c r="G8" s="53" t="s">
        <v>73</v>
      </c>
      <c r="H8" s="208">
        <f>H5-58</f>
        <v>1992</v>
      </c>
      <c r="I8" s="209"/>
    </row>
    <row r="9" spans="1:9" ht="15.6" x14ac:dyDescent="0.3">
      <c r="A9" s="51" t="s">
        <v>76</v>
      </c>
      <c r="B9" s="200">
        <f>(B6-10)/2</f>
        <v>447.5</v>
      </c>
      <c r="C9" s="201"/>
      <c r="D9" s="128"/>
      <c r="E9" s="128"/>
      <c r="G9" s="51" t="s">
        <v>75</v>
      </c>
      <c r="H9" s="200">
        <f>(H6-16)/4</f>
        <v>448.5</v>
      </c>
      <c r="I9" s="201"/>
    </row>
    <row r="10" spans="1:9" ht="15.6" x14ac:dyDescent="0.3">
      <c r="A10" s="51" t="s">
        <v>81</v>
      </c>
      <c r="B10" s="200">
        <f>B9-51</f>
        <v>396.5</v>
      </c>
      <c r="C10" s="201"/>
      <c r="D10" s="128"/>
      <c r="E10" s="128"/>
      <c r="G10" s="51" t="s">
        <v>81</v>
      </c>
      <c r="H10" s="208">
        <f>H9-51</f>
        <v>397.5</v>
      </c>
      <c r="I10" s="209"/>
    </row>
    <row r="11" spans="1:9" ht="15.6" x14ac:dyDescent="0.3">
      <c r="A11" s="51" t="s">
        <v>77</v>
      </c>
      <c r="B11" s="200">
        <f>B9-33</f>
        <v>414.5</v>
      </c>
      <c r="C11" s="201"/>
      <c r="D11" s="128"/>
      <c r="E11" s="128"/>
      <c r="G11" s="51" t="s">
        <v>77</v>
      </c>
      <c r="H11" s="200">
        <f>H9-33</f>
        <v>415.5</v>
      </c>
      <c r="I11" s="201"/>
    </row>
    <row r="12" spans="1:9" ht="15.6" x14ac:dyDescent="0.3">
      <c r="A12" s="51" t="s">
        <v>78</v>
      </c>
      <c r="B12" s="200">
        <f>B8-93</f>
        <v>1899</v>
      </c>
      <c r="C12" s="201"/>
      <c r="D12" s="128"/>
      <c r="E12" s="128"/>
      <c r="G12" s="51" t="s">
        <v>78</v>
      </c>
      <c r="H12" s="200">
        <f>H8-93</f>
        <v>1899</v>
      </c>
      <c r="I12" s="201"/>
    </row>
    <row r="13" spans="1:9" ht="15.6" x14ac:dyDescent="0.3">
      <c r="A13" s="51" t="s">
        <v>79</v>
      </c>
      <c r="B13" s="200">
        <f>B9-35</f>
        <v>412.5</v>
      </c>
      <c r="C13" s="201"/>
      <c r="D13" s="128"/>
      <c r="E13" s="128"/>
      <c r="G13" s="51" t="s">
        <v>79</v>
      </c>
      <c r="H13" s="200">
        <f>H9-35</f>
        <v>413.5</v>
      </c>
      <c r="I13" s="201"/>
    </row>
    <row r="14" spans="1:9" ht="16.2" thickBot="1" x14ac:dyDescent="0.35">
      <c r="A14" s="52" t="s">
        <v>80</v>
      </c>
      <c r="B14" s="202">
        <f>B8-95</f>
        <v>1897</v>
      </c>
      <c r="C14" s="203"/>
      <c r="D14" s="128"/>
      <c r="E14" s="128"/>
      <c r="G14" s="52" t="s">
        <v>80</v>
      </c>
      <c r="H14" s="202">
        <f>H8-95</f>
        <v>1897</v>
      </c>
      <c r="I14" s="203"/>
    </row>
  </sheetData>
  <mergeCells count="21">
    <mergeCell ref="B7:C7"/>
    <mergeCell ref="H7:I7"/>
    <mergeCell ref="G3:I3"/>
    <mergeCell ref="B5:C5"/>
    <mergeCell ref="H5:I5"/>
    <mergeCell ref="B6:C6"/>
    <mergeCell ref="H6:I6"/>
    <mergeCell ref="B8:C8"/>
    <mergeCell ref="H8:I8"/>
    <mergeCell ref="B9:C9"/>
    <mergeCell ref="H9:I9"/>
    <mergeCell ref="B10:C10"/>
    <mergeCell ref="H10:I10"/>
    <mergeCell ref="B14:C14"/>
    <mergeCell ref="H14:I14"/>
    <mergeCell ref="B11:C11"/>
    <mergeCell ref="H11:I11"/>
    <mergeCell ref="B12:C12"/>
    <mergeCell ref="H12:I12"/>
    <mergeCell ref="B13:C13"/>
    <mergeCell ref="H13:I13"/>
  </mergeCells>
  <hyperlinks>
    <hyperlink ref="G1" r:id="rId1" xr:uid="{00000000-0004-0000-0300-000000000000}"/>
  </hyperlinks>
  <pageMargins left="0.7" right="0.7" top="0.75" bottom="0.75" header="0.3" footer="0.3"/>
  <pageSetup paperSize="9" orientation="portrait" horizontalDpi="180" verticalDpi="18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Расчёт дверей GRANDIS</vt:lpstr>
      <vt:lpstr>Расчет фасадов GRANDIS</vt:lpstr>
      <vt:lpstr>складная С</vt:lpstr>
      <vt:lpstr>складная RH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GRANDIS</dc:creator>
  <cp:lastModifiedBy>Михаил Ечмаев</cp:lastModifiedBy>
  <cp:lastPrinted>2017-09-26T06:35:52Z</cp:lastPrinted>
  <dcterms:created xsi:type="dcterms:W3CDTF">2013-09-25T12:20:12Z</dcterms:created>
  <dcterms:modified xsi:type="dcterms:W3CDTF">2020-10-01T10:35:00Z</dcterms:modified>
</cp:coreProperties>
</file>